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79021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<sst xmlns="http://schemas.openxmlformats.org/spreadsheetml/2006/main" count="364" uniqueCount="224">
  <si>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</si>
  <si>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</si>
  <si>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</si>
  <si>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</si>
  <si>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</si>
  <si>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</si>
  <si>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</si>
  <si>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</si>
  <si>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</si>
  <si>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</si>
  <si>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</si>
  <si>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</si>
  <si>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</si>
  <si>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</si>
  <si>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</si>
  <si>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</si>
  <si>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</si>
  <si>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</si>
  <si>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</si>
  <si>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</si>
  <si>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</si>
  <si>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</si>
  <si>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</si>
  <si>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</si>
  <si>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</si>
  <si>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</si>
  <si>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</si>
  <si>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</si>
  <si>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</si>
  <si>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</si>
  <si>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</si>
  <si>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</si>
  <si>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</si>
  <si>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</si>
  <si>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</si>
  <si>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</si>
  <si>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</si>
  <si>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</si>
  <si>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</si>
  <si>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</si>
  <si>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</si>
  <si>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</si>
  <si>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</si>
  <si>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</si>
  <si>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</si>
  <si>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</si>
  <si>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</si>
  <si>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</si>
  <si>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</si>
  <si>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</si>
  <si>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</si>
  <si>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</si>
  <si>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</si>
  <si>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</si>
  <si>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</si>
  <si>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</si>
  <si>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</si>
  <si>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</si>
  <si>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</si>
  <si>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</si>
  <si>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</si>
  <si>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</si>
  <si>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</si>
  <si>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</si>
  <si>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</si>
  <si>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</si>
  <si>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</si>
  <si>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</si>
  <si>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</si>
  <si>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</si>
  <si>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</si>
  <si>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</si>
  <si>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</si>
  <si>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</si>
  <si>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</si>
  <si>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</si>
  <si>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</si>
  <si>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</si>
  <si>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</si>
  <si>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</si>
  <si>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</si>
  <si>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</si>
  <si>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</si>
  <si>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</si>
  <si>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</si>
  <si>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</si>
  <si>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</si>
  <si>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</si>
  <si>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</si>
  <si>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</si>
  <si>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</si>
  <si>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</si>
  <si>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</si>
  <si>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</si>
  <si>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</si>
  <si>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</si>
  <si>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</si>
  <si>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</si>
  <si>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</si>
  <si>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</si>
  <si>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</si>
  <si>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</si>
  <si>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</si>
  <si>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</si>
  <si>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</si>
  <si>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</si>
  <si>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</si>
  <si>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</si>
  <si>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</si>
  <si>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</si>
  <si>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</si>
  <si>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</si>
  <si>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</si>
  <si>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</si>
  <si>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</si>
  <si>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</si>
  <si>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</si>
  <si>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</si>
  <si>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</si>
  <si>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</si>
  <si>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</si>
  <si>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</si>
  <si>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</si>
  <si>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</si>
  <si>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</si>
  <si>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</si>
  <si>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</si>
  <si>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</si>
  <si>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</si>
  <si>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</si>
  <si>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</si>
  <si>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</si>
  <si>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</si>
  <si>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</si>
  <si>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</si>
  <si>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</si>
  <si>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</si>
  <si>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</si>
  <si>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</si>
  <si>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</si>
  <si>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</si>
  <si>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</si>
  <si>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</si>
  <si>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</si>
  <si>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</si>
  <si>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</si>
  <si>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</si>
  <si>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</si>
  <si>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</si>
  <si>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</si>
  <si>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</si>
  <si>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</si>
  <si>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</si>
  <si>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</si>
  <si>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</si>
  <si>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</si>
  <si>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</si>
  <si>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</si>
  <si>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</si>
  <si>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</si>
  <si>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</si>
  <si>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</si>
  <si>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</si>
  <si>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</si>
  <si>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</si>
  <si>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</si>
  <si>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</si>
  <si>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</si>
  <si>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</si>
  <si>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</si>
  <si>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</si>
  <si>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</si>
  <si>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</si>
  <si>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</si>
  <si>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</si>
  <si>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</si>
  <si>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</si>
  <si>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</si>
  <si>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</si>
  <si>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</si>
  <si>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</si>
  <si>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</si>
  <si>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</si>
  <si>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</si>
  <si>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</si>
  <si>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</si>
  <si>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</si>
  <si>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</si>
  <si>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</si>
  <si>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</si>
  <si>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</si>
  <si>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</si>
  <si>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</si>
  <si>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</si>
  <si>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</si>
  <si>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</si>
  <si>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</si>
  <si>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</si>
  <si>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</si>
  <si>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</si>
  <si>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</si>
  <si>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</si>
  <si>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</si>
  <si>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</si>
  <si>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</si>
  <si>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</si>
  <si>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</si>
  <si>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</si>
  <si>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</si>
  <si>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</si>
  <si>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</si>
  <si>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</si>
  <si>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</si>
  <si>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</si>
  <si>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</si>
  <si>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</si>
  <si>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</si>
  <si>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</si>
  <si>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</si>
  <si>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</si>
  <si>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</si>
  <si>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</si>
  <si>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</si>
  <si>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215/75 R17.5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</si>
</sst>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  <numFmt numFmtId="171" formatCode="_-* #,##0.00_-;\-* #,##0.00_-;_-* &quot;-&quot;??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  <xf numFmtId="171" fontId="0" fillId="0" borderId="0" xfId="1" applyNumberFormat="1" applyFont="1"/>
  </cellXfs>
  <cellStyles count="6">
    <cellStyle name="Hiperlink" xfId="5" builtinId="8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22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3" t="s">
        <v>202</v>
      </c>
      <c r="C1" s="194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opLeftCell="A13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5" t="s">
        <v>31</v>
      </c>
      <c r="B1" s="196"/>
      <c r="C1" s="197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9" workbookViewId="0">
      <selection activeCell="D37" sqref="D37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8" t="s">
        <v>203</v>
      </c>
      <c r="B3" s="199"/>
      <c r="C3" s="199"/>
      <c r="D3" s="199"/>
      <c r="E3" s="199"/>
      <c r="F3" s="200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112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topLeftCell="A13" workbookViewId="0">
      <selection activeCell="D27" sqref="D27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70000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52500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8" t="s">
        <v>215</v>
      </c>
      <c r="B9" s="199"/>
      <c r="C9" s="199"/>
      <c r="D9" s="199"/>
      <c r="E9" s="199"/>
      <c r="F9" s="200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70000</v>
      </c>
      <c r="E12" s="42">
        <f>C12*D12</f>
        <v>70000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70000</v>
      </c>
      <c r="E15" s="46">
        <f>C15*(D15-C5)/100</f>
        <v>70000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70000</v>
      </c>
      <c r="E16" s="77">
        <f>IFERROR(D16/C16,0)</f>
        <v>291.66666666666669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291.66666666666669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291.66666666666669</v>
      </c>
      <c r="E18" s="52">
        <f>C18*D18</f>
        <v>291.66666666666669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291.66666666666669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/>
      <c r="E25" s="46"/>
    </row>
    <row r="26" spans="1:6" x14ac:dyDescent="0.25">
      <c r="A26" s="44" t="s">
        <v>120</v>
      </c>
      <c r="B26" s="45" t="s">
        <v>98</v>
      </c>
      <c r="C26" s="123">
        <v>9.25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/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workbookViewId="0">
      <selection activeCell="E37" sqref="E37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9.85546875" bestFit="1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1" t="s">
        <v>208</v>
      </c>
      <c r="B3" s="202"/>
      <c r="C3" s="202"/>
      <c r="D3" s="202"/>
      <c r="E3" s="202"/>
      <c r="F3" s="203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2458.17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6.5</v>
      </c>
      <c r="D17" s="141">
        <v>6.1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2458.17</v>
      </c>
      <c r="D18" s="86">
        <f>IFERROR(+D17/C17,"-")</f>
        <v>0.93846153846153846</v>
      </c>
      <c r="E18" s="46">
        <f>IFERROR(C18*D18,"-")</f>
        <v>2306.8980000000001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2458.17</v>
      </c>
      <c r="D20" s="87">
        <f>+C19*D19/1000</f>
        <v>7.4999999999999997E-3</v>
      </c>
      <c r="E20" s="46">
        <f>C20*D20</f>
        <v>18.436274999999998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2458.17</v>
      </c>
      <c r="D22" s="87">
        <f>+C21*D21/1000</f>
        <v>6.0000000000000001E-3</v>
      </c>
      <c r="E22" s="46">
        <f>C22*D22</f>
        <v>14.749020000000002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2458.17</v>
      </c>
      <c r="D24" s="87">
        <f>+C23*D23/1000</f>
        <v>2.0000000000000002E-5</v>
      </c>
      <c r="E24" s="46">
        <f>C24*D24</f>
        <v>4.9163400000000003E-2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2458.17</v>
      </c>
      <c r="D26" s="87">
        <f>+C25*D25/1000</f>
        <v>1.2E-2</v>
      </c>
      <c r="E26" s="46">
        <f>C26*D26</f>
        <v>29.498040000000003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0.96398153846153845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2369.6304984000003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2458.17</v>
      </c>
      <c r="D32" s="132">
        <v>0.02</v>
      </c>
      <c r="E32" s="42">
        <f>C32*D32</f>
        <v>49.163400000000003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49.163400000000003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650.13</v>
      </c>
      <c r="E37" s="42">
        <f>C37*D37</f>
        <v>3900.7799999999997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40000</v>
      </c>
      <c r="D40" s="46">
        <f>E37+E39</f>
        <v>3900.7799999999997</v>
      </c>
      <c r="E40" s="46">
        <f>IFERROR(D40/C40,"-")</f>
        <v>9.7519499999999995E-2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2458.17</v>
      </c>
      <c r="D41" s="46">
        <f>E40</f>
        <v>9.7519499999999995E-2</v>
      </c>
      <c r="E41" s="46">
        <f>IFERROR(C41*D41,0)</f>
        <v>239.71950931499998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239.71950931499998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2675.8525743816667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topLeftCell="A13" workbookViewId="0">
      <selection activeCell="C7" sqref="C7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4" t="s">
        <v>212</v>
      </c>
      <c r="B2" s="205"/>
      <c r="C2" s="205"/>
      <c r="D2" s="205"/>
      <c r="E2" s="205"/>
      <c r="F2" s="206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3.5168302211363578E-3</v>
      </c>
      <c r="D6" s="93" t="s">
        <v>167</v>
      </c>
      <c r="E6" s="148">
        <v>9.2499999999999999E-2</v>
      </c>
      <c r="F6" s="99"/>
    </row>
    <row r="7" spans="1:6" x14ac:dyDescent="0.25">
      <c r="A7" s="96" t="s">
        <v>168</v>
      </c>
      <c r="B7" s="207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8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0.36919999999999997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9007.7733423816662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36.919999999999995</v>
      </c>
      <c r="D19" s="42">
        <f>+F15</f>
        <v>9007.7733423816662</v>
      </c>
      <c r="E19" s="42">
        <f>C19*D19/100</f>
        <v>3325.6699180073106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3325.6699180073106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3325.6699180073106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4" workbookViewId="0">
      <selection activeCell="C21" sqref="C21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8" t="s">
        <v>214</v>
      </c>
      <c r="B1" s="209"/>
      <c r="C1" s="210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0.5015339117507942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0.33787369144870649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0.16306537399632154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5.9484630576610276E-4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2967.5192410483332</v>
      </c>
      <c r="C9" s="182">
        <f t="shared" si="0"/>
        <v>0.23504898240045674</v>
      </c>
    </row>
    <row r="10" spans="1:3" x14ac:dyDescent="0.25">
      <c r="A10" s="180" t="s">
        <v>194</v>
      </c>
      <c r="B10" s="154">
        <f>'Remuneração de capital'!F19</f>
        <v>291.66666666666669</v>
      </c>
      <c r="C10" s="181">
        <f t="shared" si="0"/>
        <v>2.3102109078798932E-2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1.3733873817216267E-3</v>
      </c>
    </row>
    <row r="13" spans="1:3" x14ac:dyDescent="0.25">
      <c r="A13" s="180" t="s">
        <v>197</v>
      </c>
      <c r="B13" s="154">
        <f>'Impostos e manutenção'!F28</f>
        <v>2369.6304984000003</v>
      </c>
      <c r="C13" s="183">
        <f t="shared" si="0"/>
        <v>0.18769187057309308</v>
      </c>
    </row>
    <row r="14" spans="1:3" x14ac:dyDescent="0.25">
      <c r="A14" s="180" t="s">
        <v>198</v>
      </c>
      <c r="B14" s="154">
        <f>'Impostos e manutenção'!F33</f>
        <v>49.163400000000003</v>
      </c>
      <c r="C14" s="183">
        <f t="shared" si="0"/>
        <v>3.8940967868044234E-3</v>
      </c>
    </row>
    <row r="15" spans="1:3" x14ac:dyDescent="0.25">
      <c r="A15" s="180" t="s">
        <v>199</v>
      </c>
      <c r="B15" s="154">
        <f>'Impostos e manutenção'!F42</f>
        <v>239.71950931499998</v>
      </c>
      <c r="C15" s="183">
        <f t="shared" si="0"/>
        <v>1.8987518580038696E-2</v>
      </c>
    </row>
    <row r="16" spans="1:3" x14ac:dyDescent="0.25">
      <c r="A16" s="178" t="s">
        <v>200</v>
      </c>
      <c r="B16" s="153">
        <f>BDI!F22</f>
        <v>3325.6699180073106</v>
      </c>
      <c r="C16" s="179">
        <f t="shared" si="0"/>
        <v>0.26341710584874922</v>
      </c>
    </row>
    <row r="17" spans="1:3" ht="15.75" thickBot="1" x14ac:dyDescent="0.3">
      <c r="A17" s="184" t="s">
        <v>201</v>
      </c>
      <c r="B17" s="185">
        <f>SUM(B3+B9+B16)</f>
        <v>12625.109927055642</v>
      </c>
      <c r="C17" s="186">
        <f>C3+C9+C16</f>
        <v>1</v>
      </c>
    </row>
    <row r="20" spans="1:3" x14ac:dyDescent="0.25">
      <c r="A20" s="191" t="s">
        <v>219</v>
      </c>
      <c r="B20" s="192">
        <v>2458</v>
      </c>
    </row>
    <row r="21" spans="1:3" x14ac:dyDescent="0.25">
      <c r="A21" s="191" t="s">
        <v>218</v>
      </c>
      <c r="C21" s="211">
        <f>B17/B20</f>
        <v>5.1363343885498951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User</cp:lastModifiedBy>
  <cp:lastPrinted>2022-01-28T11:30:20Z</cp:lastPrinted>
  <dcterms:created xsi:type="dcterms:W3CDTF">2020-01-13T18:06:35Z</dcterms:created>
  <dcterms:modified xsi:type="dcterms:W3CDTF">2022-01-31T13:26:31Z</dcterms:modified>
</cp:coreProperties>
</file>